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<sst xmlns="http://schemas.openxmlformats.org/spreadsheetml/2006/main" count="171" uniqueCount="123">
  <si>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</si>
  <si>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</si>
  <si>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</si>
  <si>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</si>
  <si>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</si>
  <si>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</si>
  <si>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</si>
  <si>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</si>
  <si>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</si>
  <si>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</si>
  <si>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</si>
  <si>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</si>
  <si>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</si>
  <si>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</si>
  <si>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</si>
  <si>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</si>
  <si>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</si>
  <si>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</si>
  <si>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</si>
  <si>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</si>
  <si>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</si>
  <si>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</si>
  <si>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</si>
  <si>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</si>
  <si>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</si>
  <si>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</si>
  <si>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</si>
  <si>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</si>
  <si>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</si>
  <si>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</si>
  <si>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</si>
  <si>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</si>
  <si>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</si>
  <si>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</si>
  <si>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</si>
  <si>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</si>
  <si>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</si>
  <si>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</si>
  <si>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</si>
  <si>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</si>
  <si>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</si>
  <si>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</si>
  <si>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</si>
  <si>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</si>
  <si>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</si>
  <si>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</si>
  <si>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</si>
  <si>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</si>
  <si>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</si>
  <si>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</si>
  <si>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</si>
  <si>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</si>
  <si>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</si>
  <si>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</si>
  <si>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</si>
  <si>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</si>
  <si>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</si>
  <si>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</si>
  <si>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</si>
  <si>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</si>
  <si>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</si>
  <si>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</si>
  <si>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</si>
  <si>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</si>
  <si>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</si>
  <si>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</si>
  <si>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</si>
  <si>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</si>
  <si>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</si>
  <si>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</si>
  <si>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</si>
  <si>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</si>
  <si>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</si>
  <si>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</si>
  <si>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</si>
  <si>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</si>
  <si>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</si>
  <si>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</si>
  <si>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</si>
  <si>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</si>
  <si>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</si>
  <si>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</si>
  <si>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</si>
  <si>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</si>
  <si>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</si>
  <si>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</si>
  <si>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</si>
  <si>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</si>
  <si>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</si>
  <si>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</si>
  <si>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</si>
  <si>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</si>
  <si>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</si>
  <si>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</si>
  <si>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</si>
  <si>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</si>
  <si>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</si>
  <si>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</si>
  <si>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</si>
  <si>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</si>
  <si>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</si>
  <si>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</si>
  <si>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</si>
  <si>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</si>
  <si>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</si>
  <si>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</si>
  <si>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</si>
  <si>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</si>
  <si>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</si>
  <si>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</si>
  <si>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</si>
  <si>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</si>
  <si>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</si>
  <si>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</si>
  <si>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</si>
  <si>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</si>
  <si>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</si>
  <si>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</si>
  <si>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</si>
  <si>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</si>
  <si>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</si>
  <si>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</si>
  <si>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2016 рік станом на 29.01.2016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</si>
</sst>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2103.9000000000005</c:v>
                </c:pt>
                <c:pt idx="1">
                  <c:v>2069.1</c:v>
                </c:pt>
                <c:pt idx="3">
                  <c:v>34.80000000000064</c:v>
                </c:pt>
              </c:numCache>
            </c:numRef>
          </c:val>
          <c:shape val="box"/>
        </c:ser>
        <c:shape val="box"/>
        <c:axId val="13869712"/>
        <c:axId val="57718545"/>
      </c:bar3D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6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22198.2</c:v>
                </c:pt>
                <c:pt idx="1">
                  <c:v>12947.400000000001</c:v>
                </c:pt>
                <c:pt idx="2">
                  <c:v>20461.2</c:v>
                </c:pt>
                <c:pt idx="4">
                  <c:v>562.6</c:v>
                </c:pt>
                <c:pt idx="5">
                  <c:v>1161.7</c:v>
                </c:pt>
                <c:pt idx="6">
                  <c:v>5</c:v>
                </c:pt>
                <c:pt idx="7">
                  <c:v>7.7000000000000455</c:v>
                </c:pt>
              </c:numCache>
            </c:numRef>
          </c:val>
          <c:shape val="box"/>
        </c:ser>
        <c:shape val="box"/>
        <c:axId val="49704858"/>
        <c:axId val="44690539"/>
      </c:bar3D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90539"/>
        <c:crosses val="autoZero"/>
        <c:auto val="1"/>
        <c:lblOffset val="100"/>
        <c:tickLblSkip val="1"/>
        <c:noMultiLvlLbl val="0"/>
      </c:catAx>
      <c:valAx>
        <c:axId val="44690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048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15569.400000000001</c:v>
                </c:pt>
                <c:pt idx="1">
                  <c:v>11840.899999999998</c:v>
                </c:pt>
                <c:pt idx="2">
                  <c:v>14411.999999999998</c:v>
                </c:pt>
                <c:pt idx="3">
                  <c:v>433.5</c:v>
                </c:pt>
                <c:pt idx="4">
                  <c:v>184.8</c:v>
                </c:pt>
                <c:pt idx="5">
                  <c:v>389.5</c:v>
                </c:pt>
                <c:pt idx="6">
                  <c:v>96.19999999999999</c:v>
                </c:pt>
                <c:pt idx="7">
                  <c:v>53.40000000000333</c:v>
                </c:pt>
              </c:numCache>
            </c:numRef>
          </c:val>
          <c:shape val="box"/>
        </c:ser>
        <c:shape val="box"/>
        <c:axId val="66670532"/>
        <c:axId val="63163877"/>
      </c:bar3D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63877"/>
        <c:crosses val="autoZero"/>
        <c:auto val="1"/>
        <c:lblOffset val="100"/>
        <c:tickLblSkip val="1"/>
        <c:noMultiLvlLbl val="0"/>
      </c:catAx>
      <c:valAx>
        <c:axId val="63163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3128.2</c:v>
                </c:pt>
                <c:pt idx="1">
                  <c:v>2603.3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458.39999999999964</c:v>
                </c:pt>
              </c:numCache>
            </c:numRef>
          </c:val>
          <c:shape val="box"/>
        </c:ser>
        <c:shape val="box"/>
        <c:axId val="31603982"/>
        <c:axId val="16000383"/>
      </c:bar3D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00383"/>
        <c:crosses val="autoZero"/>
        <c:auto val="1"/>
        <c:lblOffset val="100"/>
        <c:tickLblSkip val="1"/>
        <c:noMultiLvlLbl val="0"/>
      </c:catAx>
      <c:valAx>
        <c:axId val="16000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9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854.1999999999999</c:v>
                </c:pt>
                <c:pt idx="1">
                  <c:v>740.5999999999999</c:v>
                </c:pt>
                <c:pt idx="2">
                  <c:v>1.3</c:v>
                </c:pt>
                <c:pt idx="3">
                  <c:v>11.299999999999999</c:v>
                </c:pt>
                <c:pt idx="4">
                  <c:v>101.00000000000003</c:v>
                </c:pt>
              </c:numCache>
            </c:numRef>
          </c:val>
          <c:shape val="box"/>
        </c:ser>
        <c:shape val="box"/>
        <c:axId val="9785720"/>
        <c:axId val="20962617"/>
      </c:bar3D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62617"/>
        <c:crosses val="autoZero"/>
        <c:auto val="1"/>
        <c:lblOffset val="100"/>
        <c:tickLblSkip val="2"/>
        <c:noMultiLvlLbl val="0"/>
      </c:catAx>
      <c:valAx>
        <c:axId val="20962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5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54445826"/>
        <c:axId val="20250387"/>
      </c:bar3D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4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4212.4</c:v>
                </c:pt>
              </c:numCache>
            </c:numRef>
          </c:val>
          <c:shape val="box"/>
        </c:ser>
        <c:shape val="box"/>
        <c:axId val="48035756"/>
        <c:axId val="29668621"/>
      </c:bar3D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22198.2</c:v>
                </c:pt>
                <c:pt idx="1">
                  <c:v>15569.400000000001</c:v>
                </c:pt>
                <c:pt idx="2">
                  <c:v>3128.2</c:v>
                </c:pt>
                <c:pt idx="3">
                  <c:v>854.1999999999999</c:v>
                </c:pt>
                <c:pt idx="4">
                  <c:v>121</c:v>
                </c:pt>
                <c:pt idx="5">
                  <c:v>2103.9000000000005</c:v>
                </c:pt>
                <c:pt idx="6">
                  <c:v>4212.4</c:v>
                </c:pt>
              </c:numCache>
            </c:numRef>
          </c:val>
          <c:shape val="box"/>
        </c:ser>
        <c:shape val="box"/>
        <c:axId val="65690998"/>
        <c:axId val="54348071"/>
      </c:bar3D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0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40968.6</c:v>
                </c:pt>
                <c:pt idx="1">
                  <c:v>1579.9</c:v>
                </c:pt>
                <c:pt idx="2">
                  <c:v>748.7</c:v>
                </c:pt>
                <c:pt idx="3">
                  <c:v>558</c:v>
                </c:pt>
                <c:pt idx="4">
                  <c:v>433.5</c:v>
                </c:pt>
                <c:pt idx="5">
                  <c:v>6759.000000000006</c:v>
                </c:pt>
              </c:numCache>
            </c:numRef>
          </c:val>
          <c:shape val="box"/>
        </c:ser>
        <c:shape val="box"/>
        <c:axId val="19370592"/>
        <c:axId val="40117601"/>
      </c:bar3D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05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116</v>
      </c>
      <c r="C3" s="136" t="s">
        <v>117</v>
      </c>
      <c r="D3" s="136" t="s">
        <v>28</v>
      </c>
      <c r="E3" s="136" t="s">
        <v>27</v>
      </c>
      <c r="F3" s="136" t="s">
        <v>118</v>
      </c>
      <c r="G3" s="136" t="s">
        <v>119</v>
      </c>
      <c r="H3" s="136" t="s">
        <v>120</v>
      </c>
      <c r="I3" s="136" t="s">
        <v>121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30411.1-1435.3</f>
        <v>28975.8</v>
      </c>
      <c r="C6" s="53">
        <f>91233.3-4306</f>
        <v>86927.3</v>
      </c>
      <c r="D6" s="54">
        <f>3665.2+5419.3+785.5+220.1+4705.1+6727.5+675.5+217.7</f>
        <v>22415.9</v>
      </c>
      <c r="E6" s="3">
        <f>D6/D149*100</f>
        <v>42.342085379675105</v>
      </c>
      <c r="F6" s="3">
        <f>D6/B6*100</f>
        <v>77.36076311956876</v>
      </c>
      <c r="G6" s="3">
        <f aca="true" t="shared" si="0" ref="G6:G43">D6/C6*100</f>
        <v>25.786950704784346</v>
      </c>
      <c r="H6" s="3">
        <f>B6-D6</f>
        <v>6559.899999999998</v>
      </c>
      <c r="I6" s="3">
        <f aca="true" t="shared" si="1" ref="I6:I43">C6-D6</f>
        <v>64511.4</v>
      </c>
    </row>
    <row r="7" spans="1:9" s="44" customFormat="1" ht="18.75">
      <c r="A7" s="115" t="s">
        <v>102</v>
      </c>
      <c r="B7" s="108">
        <f>15035.6-1435.3</f>
        <v>13600.300000000001</v>
      </c>
      <c r="C7" s="105">
        <f>45106.9-4306</f>
        <v>40800.9</v>
      </c>
      <c r="D7" s="116">
        <f>5419.3+86.3+97.4+56.7+6727.5+560.2+2.9</f>
        <v>12950.300000000001</v>
      </c>
      <c r="E7" s="106">
        <f>D7/D6*100</f>
        <v>57.77283089235766</v>
      </c>
      <c r="F7" s="106">
        <f>D7/B7*100</f>
        <v>95.22069366116924</v>
      </c>
      <c r="G7" s="106">
        <f>D7/C7*100</f>
        <v>31.74023122038975</v>
      </c>
      <c r="H7" s="106">
        <f>B7-D7</f>
        <v>650</v>
      </c>
      <c r="I7" s="106">
        <f t="shared" si="1"/>
        <v>27850.6</v>
      </c>
    </row>
    <row r="8" spans="1:9" ht="18">
      <c r="A8" s="29" t="s">
        <v>3</v>
      </c>
      <c r="B8" s="49">
        <f>17562+4452.7</f>
        <v>22014.7</v>
      </c>
      <c r="C8" s="50">
        <v>56790.4</v>
      </c>
      <c r="D8" s="51">
        <f>3665.2+5419.3+4645.9+6727.5+3.3</f>
        <v>20461.2</v>
      </c>
      <c r="E8" s="1">
        <f>D8/D6*100</f>
        <v>91.27985046328722</v>
      </c>
      <c r="F8" s="1">
        <f>D8/B8*100</f>
        <v>92.94335148786948</v>
      </c>
      <c r="G8" s="1">
        <f t="shared" si="0"/>
        <v>36.029328900659266</v>
      </c>
      <c r="H8" s="1">
        <f>B8-D8</f>
        <v>1553.5</v>
      </c>
      <c r="I8" s="1">
        <f t="shared" si="1"/>
        <v>36329.2</v>
      </c>
    </row>
    <row r="9" spans="1:9" ht="18">
      <c r="A9" s="29" t="s">
        <v>2</v>
      </c>
      <c r="B9" s="49">
        <v>0</v>
      </c>
      <c r="C9" s="50">
        <v>2</v>
      </c>
      <c r="D9" s="51"/>
      <c r="E9" s="12">
        <f>D9/D6*100</f>
        <v>0</v>
      </c>
      <c r="F9" s="133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>
        <f>345.3+106.4+54.5+56.4+92.5</f>
        <v>655.1</v>
      </c>
      <c r="E10" s="1">
        <f>D10/D6*100</f>
        <v>2.9224791331153335</v>
      </c>
      <c r="F10" s="1">
        <f aca="true" t="shared" si="3" ref="F10:F41">D10/B10*100</f>
        <v>49.00142119829456</v>
      </c>
      <c r="G10" s="1">
        <f t="shared" si="0"/>
        <v>15.649411146413128</v>
      </c>
      <c r="H10" s="1">
        <f t="shared" si="2"/>
        <v>681.8000000000001</v>
      </c>
      <c r="I10" s="1">
        <f t="shared" si="1"/>
        <v>3531.0000000000005</v>
      </c>
    </row>
    <row r="11" spans="1:9" ht="18">
      <c r="A11" s="29" t="s">
        <v>0</v>
      </c>
      <c r="B11" s="49">
        <f>11392.8-1435.3-4452.7</f>
        <v>5504.8</v>
      </c>
      <c r="C11" s="50">
        <f>29821.3-4306</f>
        <v>25515.3</v>
      </c>
      <c r="D11" s="56">
        <f>435.2+111+615.5+123.2</f>
        <v>1284.9</v>
      </c>
      <c r="E11" s="1">
        <f>D11/D6*100</f>
        <v>5.732091952587226</v>
      </c>
      <c r="F11" s="1">
        <f t="shared" si="3"/>
        <v>23.341447464031393</v>
      </c>
      <c r="G11" s="1">
        <f t="shared" si="0"/>
        <v>5.035802048182855</v>
      </c>
      <c r="H11" s="1">
        <f t="shared" si="2"/>
        <v>4219.9</v>
      </c>
      <c r="I11" s="1">
        <f t="shared" si="1"/>
        <v>24230.399999999998</v>
      </c>
    </row>
    <row r="12" spans="1:9" ht="18">
      <c r="A12" s="29" t="s">
        <v>15</v>
      </c>
      <c r="B12" s="49">
        <v>16.1</v>
      </c>
      <c r="C12" s="50">
        <v>40.6</v>
      </c>
      <c r="D12" s="51">
        <f>5</f>
        <v>5</v>
      </c>
      <c r="E12" s="1">
        <f>D12/D6*100</f>
        <v>0.022305595581707624</v>
      </c>
      <c r="F12" s="1">
        <f t="shared" si="3"/>
        <v>31.05590062111801</v>
      </c>
      <c r="G12" s="1">
        <f t="shared" si="0"/>
        <v>12.31527093596059</v>
      </c>
      <c r="H12" s="1">
        <f t="shared" si="2"/>
        <v>11.100000000000001</v>
      </c>
      <c r="I12" s="1">
        <f t="shared" si="1"/>
        <v>35.6</v>
      </c>
    </row>
    <row r="13" spans="1:9" ht="18.75" thickBot="1">
      <c r="A13" s="29" t="s">
        <v>34</v>
      </c>
      <c r="B13" s="50">
        <f>B6-B8-B9-B10-B11-B12</f>
        <v>103.29999999999873</v>
      </c>
      <c r="C13" s="50">
        <f>C6-C8-C9-C10-C11-C12</f>
        <v>392.9000000000036</v>
      </c>
      <c r="D13" s="50">
        <f>D6-D8-D9-D10-D11-D12</f>
        <v>9.700000000000728</v>
      </c>
      <c r="E13" s="1">
        <f>D13/D6*100</f>
        <v>0.04327285542851604</v>
      </c>
      <c r="F13" s="1">
        <f t="shared" si="3"/>
        <v>9.390125847048255</v>
      </c>
      <c r="G13" s="1">
        <f t="shared" si="0"/>
        <v>2.468821583100188</v>
      </c>
      <c r="H13" s="1">
        <f t="shared" si="2"/>
        <v>93.599999999998</v>
      </c>
      <c r="I13" s="1">
        <f t="shared" si="1"/>
        <v>383.2000000000029</v>
      </c>
    </row>
    <row r="14" spans="1:9" s="44" customFormat="1" ht="18.75" customHeight="1" hidden="1">
      <c r="A14" s="107" t="s">
        <v>81</v>
      </c>
      <c r="B14" s="105"/>
      <c r="C14" s="105"/>
      <c r="D14" s="105"/>
      <c r="E14" s="106"/>
      <c r="F14" s="106" t="e">
        <f>D14/B14*100</f>
        <v>#DIV/0!</v>
      </c>
      <c r="G14" s="106" t="e">
        <f>D14/C14*100</f>
        <v>#DIV/0!</v>
      </c>
      <c r="H14" s="106">
        <f>B14-D14</f>
        <v>0</v>
      </c>
      <c r="I14" s="106">
        <f>C14-D14</f>
        <v>0</v>
      </c>
    </row>
    <row r="15" spans="1:9" s="44" customFormat="1" ht="18.75" customHeight="1" hidden="1">
      <c r="A15" s="107" t="s">
        <v>78</v>
      </c>
      <c r="B15" s="105"/>
      <c r="C15" s="105"/>
      <c r="D15" s="105"/>
      <c r="E15" s="106"/>
      <c r="F15" s="106" t="e">
        <f>D15/B15*100</f>
        <v>#DIV/0!</v>
      </c>
      <c r="G15" s="106" t="e">
        <f>D15/C15*100</f>
        <v>#DIV/0!</v>
      </c>
      <c r="H15" s="106">
        <f>B15-D15</f>
        <v>0</v>
      </c>
      <c r="I15" s="106">
        <f>C15-D15</f>
        <v>0</v>
      </c>
    </row>
    <row r="16" spans="1:9" s="44" customFormat="1" ht="19.5" hidden="1" thickBot="1">
      <c r="A16" s="107" t="s">
        <v>79</v>
      </c>
      <c r="B16" s="105"/>
      <c r="C16" s="105"/>
      <c r="D16" s="105"/>
      <c r="E16" s="106"/>
      <c r="F16" s="106" t="e">
        <f>D16/B16*100</f>
        <v>#DIV/0!</v>
      </c>
      <c r="G16" s="106" t="e">
        <f>D16/C16*100</f>
        <v>#DIV/0!</v>
      </c>
      <c r="H16" s="106">
        <f>B16-D16</f>
        <v>0</v>
      </c>
      <c r="I16" s="106">
        <f>C16-D16</f>
        <v>0</v>
      </c>
    </row>
    <row r="17" spans="1:9" s="44" customFormat="1" ht="19.5" hidden="1" thickBot="1">
      <c r="A17" s="107" t="s">
        <v>80</v>
      </c>
      <c r="B17" s="105"/>
      <c r="C17" s="105"/>
      <c r="D17" s="105"/>
      <c r="E17" s="106"/>
      <c r="F17" s="106" t="e">
        <f>D17/B17*100</f>
        <v>#DIV/0!</v>
      </c>
      <c r="G17" s="106" t="e">
        <f>D17/C17*100</f>
        <v>#DIV/0!</v>
      </c>
      <c r="H17" s="106">
        <f>B17-D17</f>
        <v>0</v>
      </c>
      <c r="I17" s="106">
        <f>C17-D17</f>
        <v>0</v>
      </c>
    </row>
    <row r="18" spans="1:9" ht="18.75" thickBot="1">
      <c r="A18" s="28" t="s">
        <v>23</v>
      </c>
      <c r="B18" s="52">
        <f>20403.5-1816.9</f>
        <v>18586.6</v>
      </c>
      <c r="C18" s="53">
        <f>61210.6-5450.6</f>
        <v>55760</v>
      </c>
      <c r="D18" s="54">
        <f>5722.2+538+9070.5+238.7+827</f>
        <v>16396.4</v>
      </c>
      <c r="E18" s="3">
        <f>D18/D149*100</f>
        <v>30.97166603702305</v>
      </c>
      <c r="F18" s="3">
        <f>D18/B18*100</f>
        <v>88.21624180861483</v>
      </c>
      <c r="G18" s="3">
        <f t="shared" si="0"/>
        <v>29.405308464849355</v>
      </c>
      <c r="H18" s="3">
        <f>B18-D18</f>
        <v>2190.199999999997</v>
      </c>
      <c r="I18" s="3">
        <f t="shared" si="1"/>
        <v>39363.6</v>
      </c>
    </row>
    <row r="19" spans="1:9" s="44" customFormat="1" ht="18.75">
      <c r="A19" s="115" t="s">
        <v>103</v>
      </c>
      <c r="B19" s="108">
        <f>16030.4-1816.9</f>
        <v>14213.5</v>
      </c>
      <c r="C19" s="105">
        <f>48091.1-5450.6</f>
        <v>42640.5</v>
      </c>
      <c r="D19" s="116">
        <f>5722.2+537+5375.9+205.8+772.6</f>
        <v>12613.499999999998</v>
      </c>
      <c r="E19" s="106">
        <f>D19/D18*100</f>
        <v>76.92847210363249</v>
      </c>
      <c r="F19" s="106">
        <f t="shared" si="3"/>
        <v>88.74309635205965</v>
      </c>
      <c r="G19" s="106">
        <f t="shared" si="0"/>
        <v>29.581032117353217</v>
      </c>
      <c r="H19" s="106">
        <f t="shared" si="2"/>
        <v>1600.0000000000018</v>
      </c>
      <c r="I19" s="106">
        <f t="shared" si="1"/>
        <v>30027</v>
      </c>
    </row>
    <row r="20" spans="1:9" ht="18">
      <c r="A20" s="29" t="s">
        <v>5</v>
      </c>
      <c r="B20" s="49">
        <f>16937.2-1816.9</f>
        <v>15120.300000000001</v>
      </c>
      <c r="C20" s="50">
        <f>48963.2-5450.6</f>
        <v>43512.6</v>
      </c>
      <c r="D20" s="51">
        <f>5722.2+1+8655.9+32.9</f>
        <v>14411.999999999998</v>
      </c>
      <c r="E20" s="1">
        <f>D20/D18*100</f>
        <v>87.89734331926519</v>
      </c>
      <c r="F20" s="1">
        <f t="shared" si="3"/>
        <v>95.31556913553301</v>
      </c>
      <c r="G20" s="1">
        <f t="shared" si="0"/>
        <v>33.12144068614608</v>
      </c>
      <c r="H20" s="1">
        <f t="shared" si="2"/>
        <v>708.3000000000029</v>
      </c>
      <c r="I20" s="1">
        <f t="shared" si="1"/>
        <v>29100.6</v>
      </c>
    </row>
    <row r="21" spans="1:9" ht="18">
      <c r="A21" s="29" t="s">
        <v>2</v>
      </c>
      <c r="B21" s="49">
        <f>1173.8-170.1</f>
        <v>1003.6999999999999</v>
      </c>
      <c r="C21" s="50">
        <v>3450.6</v>
      </c>
      <c r="D21" s="51">
        <f>80.5+183.6+169.4+194.4</f>
        <v>627.9</v>
      </c>
      <c r="E21" s="1">
        <f>D21/D18*100</f>
        <v>3.829499158351833</v>
      </c>
      <c r="F21" s="1">
        <f t="shared" si="3"/>
        <v>62.558533426322604</v>
      </c>
      <c r="G21" s="1">
        <f t="shared" si="0"/>
        <v>18.196835332985568</v>
      </c>
      <c r="H21" s="1">
        <f t="shared" si="2"/>
        <v>375.79999999999995</v>
      </c>
      <c r="I21" s="1">
        <f t="shared" si="1"/>
        <v>2822.7</v>
      </c>
    </row>
    <row r="22" spans="1:9" ht="18">
      <c r="A22" s="29" t="s">
        <v>1</v>
      </c>
      <c r="B22" s="49">
        <v>289.3</v>
      </c>
      <c r="C22" s="50">
        <v>874.5</v>
      </c>
      <c r="D22" s="51">
        <f>127.7+23.6+33.5+86.7</f>
        <v>271.5</v>
      </c>
      <c r="E22" s="1">
        <f>D22/D18*100</f>
        <v>1.655851284428289</v>
      </c>
      <c r="F22" s="1">
        <f t="shared" si="3"/>
        <v>93.8472174213619</v>
      </c>
      <c r="G22" s="1">
        <f t="shared" si="0"/>
        <v>31.04631217838765</v>
      </c>
      <c r="H22" s="1">
        <f t="shared" si="2"/>
        <v>17.80000000000001</v>
      </c>
      <c r="I22" s="1">
        <f t="shared" si="1"/>
        <v>603</v>
      </c>
    </row>
    <row r="23" spans="1:9" ht="18">
      <c r="A23" s="29" t="s">
        <v>0</v>
      </c>
      <c r="B23" s="49">
        <f>1508.6+170.1</f>
        <v>1678.6999999999998</v>
      </c>
      <c r="C23" s="50">
        <v>6334.3</v>
      </c>
      <c r="D23" s="51">
        <f>230.7+158.8+520.9</f>
        <v>910.4</v>
      </c>
      <c r="E23" s="1">
        <f>D23/D18*100</f>
        <v>5.552438340123441</v>
      </c>
      <c r="F23" s="1">
        <f t="shared" si="3"/>
        <v>54.232441770417594</v>
      </c>
      <c r="G23" s="1">
        <f t="shared" si="0"/>
        <v>14.372543138152597</v>
      </c>
      <c r="H23" s="1">
        <f t="shared" si="2"/>
        <v>768.2999999999998</v>
      </c>
      <c r="I23" s="1">
        <f t="shared" si="1"/>
        <v>5423.900000000001</v>
      </c>
    </row>
    <row r="24" spans="1:9" ht="18">
      <c r="A24" s="29" t="s">
        <v>15</v>
      </c>
      <c r="B24" s="49">
        <v>126</v>
      </c>
      <c r="C24" s="50">
        <v>363.5</v>
      </c>
      <c r="D24" s="51">
        <f>73.6+22.6+5.3</f>
        <v>101.49999999999999</v>
      </c>
      <c r="E24" s="1">
        <f>D24/D18*100</f>
        <v>0.6190383254860822</v>
      </c>
      <c r="F24" s="1">
        <f t="shared" si="3"/>
        <v>80.55555555555554</v>
      </c>
      <c r="G24" s="1">
        <f t="shared" si="0"/>
        <v>27.92297111416781</v>
      </c>
      <c r="H24" s="1">
        <f t="shared" si="2"/>
        <v>24.500000000000014</v>
      </c>
      <c r="I24" s="1">
        <f t="shared" si="1"/>
        <v>262</v>
      </c>
    </row>
    <row r="25" spans="1:9" ht="18.75" thickBot="1">
      <c r="A25" s="29" t="s">
        <v>34</v>
      </c>
      <c r="B25" s="50">
        <f>B18-B20-B21-B22-B23-B24</f>
        <v>368.59999999999764</v>
      </c>
      <c r="C25" s="50">
        <f>C18-C20-C21-C22-C23-C24</f>
        <v>1224.500000000001</v>
      </c>
      <c r="D25" s="50">
        <f>D18-D20-D21-D22-D23-D24</f>
        <v>73.10000000000322</v>
      </c>
      <c r="E25" s="1">
        <f>D25/D18*100</f>
        <v>0.4458295723451685</v>
      </c>
      <c r="F25" s="1">
        <f t="shared" si="3"/>
        <v>19.83179598480838</v>
      </c>
      <c r="G25" s="1">
        <f t="shared" si="0"/>
        <v>5.9697835851370495</v>
      </c>
      <c r="H25" s="1">
        <f t="shared" si="2"/>
        <v>295.49999999999443</v>
      </c>
      <c r="I25" s="1">
        <f t="shared" si="1"/>
        <v>1151.3999999999976</v>
      </c>
    </row>
    <row r="26" spans="1:9" ht="57" hidden="1" thickBot="1">
      <c r="A26" s="107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7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7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7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7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7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7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>
        <f>1335.1+343.1+78.5+19.5+60.6+1286.4+5</f>
        <v>3128.2</v>
      </c>
      <c r="E33" s="3">
        <f>D33/D149*100</f>
        <v>5.908953532300718</v>
      </c>
      <c r="F33" s="3">
        <f>D33/B33*100</f>
        <v>82.82892472264146</v>
      </c>
      <c r="G33" s="3">
        <f t="shared" si="0"/>
        <v>27.609397892358473</v>
      </c>
      <c r="H33" s="3">
        <f t="shared" si="2"/>
        <v>648.5</v>
      </c>
      <c r="I33" s="3">
        <f t="shared" si="1"/>
        <v>8202</v>
      </c>
    </row>
    <row r="34" spans="1:9" ht="18">
      <c r="A34" s="29" t="s">
        <v>3</v>
      </c>
      <c r="B34" s="49">
        <v>2769.9</v>
      </c>
      <c r="C34" s="50">
        <v>8148.9</v>
      </c>
      <c r="D34" s="51">
        <f>1335.1+1268.2</f>
        <v>2603.3</v>
      </c>
      <c r="E34" s="1">
        <f>D34/D33*100</f>
        <v>83.22038232849563</v>
      </c>
      <c r="F34" s="1">
        <f t="shared" si="3"/>
        <v>93.9853424311347</v>
      </c>
      <c r="G34" s="1">
        <f t="shared" si="0"/>
        <v>31.946643105204387</v>
      </c>
      <c r="H34" s="1">
        <f t="shared" si="2"/>
        <v>166.5999999999999</v>
      </c>
      <c r="I34" s="1">
        <f t="shared" si="1"/>
        <v>5545.599999999999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>
        <f>10.5</f>
        <v>10.5</v>
      </c>
      <c r="E36" s="1">
        <f>D36/D33*100</f>
        <v>0.33565628796112784</v>
      </c>
      <c r="F36" s="1">
        <f t="shared" si="3"/>
        <v>5.463059313215401</v>
      </c>
      <c r="G36" s="1">
        <f t="shared" si="0"/>
        <v>1.4299332697807436</v>
      </c>
      <c r="H36" s="1">
        <f t="shared" si="2"/>
        <v>181.7</v>
      </c>
      <c r="I36" s="1">
        <f t="shared" si="1"/>
        <v>723.8</v>
      </c>
    </row>
    <row r="37" spans="1:9" s="44" customFormat="1" ht="18.75">
      <c r="A37" s="23" t="s">
        <v>7</v>
      </c>
      <c r="B37" s="58">
        <v>58.9</v>
      </c>
      <c r="C37" s="59">
        <v>176.6</v>
      </c>
      <c r="D37" s="60">
        <f>11.2+19.5+15.2+5</f>
        <v>50.9</v>
      </c>
      <c r="E37" s="19">
        <f>D37/D33*100</f>
        <v>1.6271338149734673</v>
      </c>
      <c r="F37" s="19">
        <f t="shared" si="3"/>
        <v>86.41765704584041</v>
      </c>
      <c r="G37" s="19">
        <f t="shared" si="0"/>
        <v>28.822197055492637</v>
      </c>
      <c r="H37" s="19">
        <f t="shared" si="2"/>
        <v>8</v>
      </c>
      <c r="I37" s="19">
        <f t="shared" si="1"/>
        <v>125.69999999999999</v>
      </c>
    </row>
    <row r="38" spans="1:9" ht="18">
      <c r="A38" s="29" t="s">
        <v>15</v>
      </c>
      <c r="B38" s="49">
        <v>5.1</v>
      </c>
      <c r="C38" s="50">
        <v>15.3</v>
      </c>
      <c r="D38" s="50">
        <f>5.1</f>
        <v>5.1</v>
      </c>
      <c r="E38" s="1">
        <f>D38/D33*100</f>
        <v>0.1630330541525478</v>
      </c>
      <c r="F38" s="1">
        <f t="shared" si="3"/>
        <v>100</v>
      </c>
      <c r="G38" s="1">
        <f t="shared" si="0"/>
        <v>33.33333333333333</v>
      </c>
      <c r="H38" s="1">
        <f t="shared" si="2"/>
        <v>0</v>
      </c>
      <c r="I38" s="1">
        <f t="shared" si="1"/>
        <v>10.200000000000001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2255.100000000001</v>
      </c>
      <c r="D39" s="49">
        <f>D33-D34-D36-D37-D35-D38</f>
        <v>458.39999999999964</v>
      </c>
      <c r="E39" s="1">
        <f>D39/D33*100</f>
        <v>14.653794514417227</v>
      </c>
      <c r="F39" s="1">
        <f t="shared" si="3"/>
        <v>61.07114308553155</v>
      </c>
      <c r="G39" s="1">
        <f t="shared" si="0"/>
        <v>20.327258214713293</v>
      </c>
      <c r="H39" s="1">
        <f>B39-D39</f>
        <v>292.20000000000005</v>
      </c>
      <c r="I39" s="1">
        <f t="shared" si="1"/>
        <v>1796.7000000000012</v>
      </c>
    </row>
    <row r="40" spans="1:9" ht="19.5" hidden="1" thickBot="1">
      <c r="A40" s="107" t="s">
        <v>86</v>
      </c>
      <c r="B40" s="108"/>
      <c r="C40" s="108"/>
      <c r="D40" s="108"/>
      <c r="E40" s="106"/>
      <c r="F40" s="106" t="e">
        <f t="shared" si="3"/>
        <v>#DIV/0!</v>
      </c>
      <c r="G40" s="106" t="e">
        <f t="shared" si="0"/>
        <v>#DIV/0!</v>
      </c>
      <c r="H40" s="106">
        <f>B40-D40</f>
        <v>0</v>
      </c>
      <c r="I40" s="106">
        <f t="shared" si="1"/>
        <v>0</v>
      </c>
    </row>
    <row r="41" spans="1:9" ht="19.5" hidden="1" thickBot="1">
      <c r="A41" s="107" t="s">
        <v>87</v>
      </c>
      <c r="B41" s="108"/>
      <c r="C41" s="108"/>
      <c r="D41" s="108"/>
      <c r="E41" s="106"/>
      <c r="F41" s="106" t="e">
        <f t="shared" si="3"/>
        <v>#DIV/0!</v>
      </c>
      <c r="G41" s="106" t="e">
        <f t="shared" si="0"/>
        <v>#DIV/0!</v>
      </c>
      <c r="H41" s="106">
        <f>B41-D41</f>
        <v>0</v>
      </c>
      <c r="I41" s="106">
        <f t="shared" si="1"/>
        <v>0</v>
      </c>
    </row>
    <row r="42" spans="1:9" ht="19.5" hidden="1" thickBot="1">
      <c r="A42" s="107" t="s">
        <v>88</v>
      </c>
      <c r="B42" s="108"/>
      <c r="C42" s="108"/>
      <c r="D42" s="108"/>
      <c r="E42" s="106"/>
      <c r="F42" s="106"/>
      <c r="G42" s="106" t="e">
        <f t="shared" si="0"/>
        <v>#DIV/0!</v>
      </c>
      <c r="H42" s="106">
        <f>B42-D42</f>
        <v>0</v>
      </c>
      <c r="I42" s="106">
        <f t="shared" si="1"/>
        <v>0</v>
      </c>
    </row>
    <row r="43" spans="1:9" ht="19.5" thickBot="1">
      <c r="A43" s="14" t="s">
        <v>17</v>
      </c>
      <c r="B43" s="109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>
        <f>224.1+260.8</f>
        <v>484.9</v>
      </c>
      <c r="E45" s="3">
        <f>D45/D149*100</f>
        <v>0.9159425765017</v>
      </c>
      <c r="F45" s="3">
        <f>D45/B45*100</f>
        <v>77.27490039840636</v>
      </c>
      <c r="G45" s="3">
        <f aca="true" t="shared" si="4" ref="G45:G75">D45/C45*100</f>
        <v>25.756931902687775</v>
      </c>
      <c r="H45" s="3">
        <f>B45-D45</f>
        <v>142.60000000000002</v>
      </c>
      <c r="I45" s="3">
        <f aca="true" t="shared" si="5" ref="I45:I76">C45-D45</f>
        <v>1397.6999999999998</v>
      </c>
    </row>
    <row r="46" spans="1:9" ht="18">
      <c r="A46" s="29" t="s">
        <v>3</v>
      </c>
      <c r="B46" s="49">
        <v>539.5</v>
      </c>
      <c r="C46" s="50">
        <v>1605.2</v>
      </c>
      <c r="D46" s="51">
        <f>224.1+258.6</f>
        <v>482.70000000000005</v>
      </c>
      <c r="E46" s="1">
        <f>D46/D45*100</f>
        <v>99.54629820581565</v>
      </c>
      <c r="F46" s="1">
        <f aca="true" t="shared" si="6" ref="F46:F73">D46/B46*100</f>
        <v>89.47173308619092</v>
      </c>
      <c r="G46" s="1">
        <f t="shared" si="4"/>
        <v>30.071019187640168</v>
      </c>
      <c r="H46" s="1">
        <f aca="true" t="shared" si="7" ref="H46:H73">B46-D46</f>
        <v>56.799999999999955</v>
      </c>
      <c r="I46" s="1">
        <f t="shared" si="5"/>
        <v>1122.5</v>
      </c>
    </row>
    <row r="47" spans="1:9" ht="18">
      <c r="A47" s="29" t="s">
        <v>2</v>
      </c>
      <c r="B47" s="49">
        <v>0</v>
      </c>
      <c r="C47" s="50">
        <v>0.3</v>
      </c>
      <c r="D47" s="51"/>
      <c r="E47" s="1">
        <f>D47/D45*100</f>
        <v>0</v>
      </c>
      <c r="F47" s="114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>
        <f>D48/D45*100</f>
        <v>0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>
        <f>2.2</f>
        <v>2.2</v>
      </c>
      <c r="E49" s="1">
        <f>D49/D45*100</f>
        <v>0.45370179418436796</v>
      </c>
      <c r="F49" s="1">
        <f t="shared" si="6"/>
        <v>3.001364256480219</v>
      </c>
      <c r="G49" s="1">
        <f t="shared" si="4"/>
        <v>1.0208816705336428</v>
      </c>
      <c r="H49" s="1">
        <f t="shared" si="7"/>
        <v>71.1</v>
      </c>
      <c r="I49" s="1">
        <f t="shared" si="5"/>
        <v>213.3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-6.838973831690964E-14</v>
      </c>
      <c r="E50" s="1">
        <f>D50/D45*100</f>
        <v>-1.410388499008242E-14</v>
      </c>
      <c r="F50" s="1">
        <f t="shared" si="6"/>
        <v>-5.385018765110995E-13</v>
      </c>
      <c r="G50" s="1">
        <f t="shared" si="4"/>
        <v>-1.473916774071333E-13</v>
      </c>
      <c r="H50" s="1">
        <f t="shared" si="7"/>
        <v>12.70000000000007</v>
      </c>
      <c r="I50" s="1">
        <f t="shared" si="5"/>
        <v>46.399999999999935</v>
      </c>
    </row>
    <row r="51" spans="1:9" ht="18.75" thickBot="1">
      <c r="A51" s="28" t="s">
        <v>4</v>
      </c>
      <c r="B51" s="52">
        <v>1266.3</v>
      </c>
      <c r="C51" s="53">
        <v>3799</v>
      </c>
      <c r="D51" s="54">
        <f>8+294.9+37.1+10.7+29.2+464+10.3+76.6</f>
        <v>930.8</v>
      </c>
      <c r="E51" s="3">
        <f>D51/D149*100</f>
        <v>1.758216849263317</v>
      </c>
      <c r="F51" s="3">
        <f>D51/B51*100</f>
        <v>73.50548843086156</v>
      </c>
      <c r="G51" s="3">
        <f t="shared" si="4"/>
        <v>24.501184522242696</v>
      </c>
      <c r="H51" s="3">
        <f>B51-D51</f>
        <v>335.5</v>
      </c>
      <c r="I51" s="3">
        <f t="shared" si="5"/>
        <v>2868.2</v>
      </c>
    </row>
    <row r="52" spans="1:9" ht="18">
      <c r="A52" s="29" t="s">
        <v>3</v>
      </c>
      <c r="B52" s="49">
        <v>898.1</v>
      </c>
      <c r="C52" s="50">
        <v>2694.2</v>
      </c>
      <c r="D52" s="51">
        <f>8+294.9+437.7</f>
        <v>740.5999999999999</v>
      </c>
      <c r="E52" s="1">
        <f>D52/D51*100</f>
        <v>79.56596476149548</v>
      </c>
      <c r="F52" s="1">
        <f t="shared" si="6"/>
        <v>82.46297739672642</v>
      </c>
      <c r="G52" s="1">
        <f t="shared" si="4"/>
        <v>27.4886793853463</v>
      </c>
      <c r="H52" s="1">
        <f t="shared" si="7"/>
        <v>157.5000000000001</v>
      </c>
      <c r="I52" s="1">
        <f t="shared" si="5"/>
        <v>1953.6</v>
      </c>
    </row>
    <row r="53" spans="1:9" ht="18" hidden="1">
      <c r="A53" s="29" t="s">
        <v>2</v>
      </c>
      <c r="B53" s="49"/>
      <c r="C53" s="50"/>
      <c r="D53" s="51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>
        <f>1.3</f>
        <v>1.3</v>
      </c>
      <c r="E54" s="1">
        <f>D54/D51*100</f>
        <v>0.13966480446927373</v>
      </c>
      <c r="F54" s="1">
        <f t="shared" si="6"/>
        <v>8.024691358024691</v>
      </c>
      <c r="G54" s="1">
        <f t="shared" si="4"/>
        <v>2.680412371134021</v>
      </c>
      <c r="H54" s="1">
        <f t="shared" si="7"/>
        <v>14.899999999999999</v>
      </c>
      <c r="I54" s="1">
        <f t="shared" si="5"/>
        <v>47.2</v>
      </c>
    </row>
    <row r="55" spans="1:9" ht="18">
      <c r="A55" s="29" t="s">
        <v>0</v>
      </c>
      <c r="B55" s="49">
        <v>36.5</v>
      </c>
      <c r="C55" s="50">
        <v>203.6</v>
      </c>
      <c r="D55" s="51">
        <f>10.7+0.6</f>
        <v>11.299999999999999</v>
      </c>
      <c r="E55" s="1">
        <f>D55/D51*100</f>
        <v>1.2140094542329178</v>
      </c>
      <c r="F55" s="1">
        <f t="shared" si="6"/>
        <v>30.958904109589035</v>
      </c>
      <c r="G55" s="1">
        <f t="shared" si="4"/>
        <v>5.5500982318271115</v>
      </c>
      <c r="H55" s="1">
        <f t="shared" si="7"/>
        <v>25.200000000000003</v>
      </c>
      <c r="I55" s="1">
        <f t="shared" si="5"/>
        <v>192.29999999999998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177.60000000000002</v>
      </c>
      <c r="E56" s="1">
        <f>D56/D51*100</f>
        <v>19.080360979802325</v>
      </c>
      <c r="F56" s="1">
        <f t="shared" si="6"/>
        <v>56.29160063391444</v>
      </c>
      <c r="G56" s="1">
        <f t="shared" si="4"/>
        <v>20.82795825026387</v>
      </c>
      <c r="H56" s="1">
        <f t="shared" si="7"/>
        <v>137.89999999999992</v>
      </c>
      <c r="I56" s="1">
        <f>C56-D56</f>
        <v>675.1000000000001</v>
      </c>
    </row>
    <row r="57" spans="1:9" s="44" customFormat="1" ht="19.5" hidden="1" thickBot="1">
      <c r="A57" s="107" t="s">
        <v>85</v>
      </c>
      <c r="B57" s="105"/>
      <c r="C57" s="105"/>
      <c r="D57" s="105"/>
      <c r="E57" s="1"/>
      <c r="F57" s="106" t="e">
        <f t="shared" si="6"/>
        <v>#DIV/0!</v>
      </c>
      <c r="G57" s="106" t="e">
        <f t="shared" si="4"/>
        <v>#DIV/0!</v>
      </c>
      <c r="H57" s="106">
        <f t="shared" si="7"/>
        <v>0</v>
      </c>
      <c r="I57" s="106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>
        <f>43.5+4.7+72.8</f>
        <v>121</v>
      </c>
      <c r="E58" s="3">
        <f>D58/D149*100</f>
        <v>0.2285606346807707</v>
      </c>
      <c r="F58" s="3">
        <f>D58/B58*100</f>
        <v>26.453869698294714</v>
      </c>
      <c r="G58" s="3">
        <f t="shared" si="4"/>
        <v>8.817313998396854</v>
      </c>
      <c r="H58" s="3">
        <f>B58-D58</f>
        <v>336.4</v>
      </c>
      <c r="I58" s="3">
        <f t="shared" si="5"/>
        <v>1251.3</v>
      </c>
    </row>
    <row r="59" spans="1:9" ht="18">
      <c r="A59" s="29" t="s">
        <v>3</v>
      </c>
      <c r="B59" s="49">
        <v>142.2</v>
      </c>
      <c r="C59" s="50">
        <v>424.5</v>
      </c>
      <c r="D59" s="51">
        <f>43.5+72.8</f>
        <v>116.3</v>
      </c>
      <c r="E59" s="1">
        <f>D59/D58*100</f>
        <v>96.11570247933884</v>
      </c>
      <c r="F59" s="1">
        <f t="shared" si="6"/>
        <v>81.78621659634318</v>
      </c>
      <c r="G59" s="1">
        <f t="shared" si="4"/>
        <v>27.39693757361602</v>
      </c>
      <c r="H59" s="1">
        <f t="shared" si="7"/>
        <v>25.89999999999999</v>
      </c>
      <c r="I59" s="1">
        <f t="shared" si="5"/>
        <v>308.2</v>
      </c>
    </row>
    <row r="60" spans="1:9" ht="18">
      <c r="A60" s="29" t="s">
        <v>1</v>
      </c>
      <c r="B60" s="49">
        <v>25</v>
      </c>
      <c r="C60" s="50">
        <v>75</v>
      </c>
      <c r="D60" s="51"/>
      <c r="E60" s="1">
        <f>D60/D58*100</f>
        <v>0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>
        <f>4.7</f>
        <v>4.7</v>
      </c>
      <c r="E61" s="1">
        <f>D61/D58*100</f>
        <v>3.884297520661157</v>
      </c>
      <c r="F61" s="1">
        <f t="shared" si="6"/>
        <v>41.96428571428572</v>
      </c>
      <c r="G61" s="1">
        <f t="shared" si="4"/>
        <v>2.8588807785888077</v>
      </c>
      <c r="H61" s="1">
        <f t="shared" si="7"/>
        <v>6.499999999999999</v>
      </c>
      <c r="I61" s="1">
        <f t="shared" si="5"/>
        <v>159.70000000000002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>
        <f>D62/D58*100</f>
        <v>0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2.6645352591003757E-15</v>
      </c>
      <c r="E63" s="1">
        <f>D63/D58*100</f>
        <v>2.202095255454856E-15</v>
      </c>
      <c r="F63" s="1">
        <f t="shared" si="6"/>
        <v>1.7415263131374993E-14</v>
      </c>
      <c r="G63" s="1">
        <f t="shared" si="4"/>
        <v>6.849705036247756E-15</v>
      </c>
      <c r="H63" s="1">
        <f t="shared" si="7"/>
        <v>15.300000000000008</v>
      </c>
      <c r="I63" s="1">
        <f t="shared" si="5"/>
        <v>38.89999999999998</v>
      </c>
    </row>
    <row r="64" spans="1:9" s="44" customFormat="1" ht="19.5" hidden="1" thickBot="1">
      <c r="A64" s="107" t="s">
        <v>96</v>
      </c>
      <c r="B64" s="105"/>
      <c r="C64" s="105"/>
      <c r="D64" s="105"/>
      <c r="E64" s="106"/>
      <c r="F64" s="106" t="e">
        <f>D64/B64*100</f>
        <v>#DIV/0!</v>
      </c>
      <c r="G64" s="106" t="e">
        <f>D64/C64*100</f>
        <v>#DIV/0!</v>
      </c>
      <c r="H64" s="106">
        <f t="shared" si="7"/>
        <v>0</v>
      </c>
      <c r="I64" s="106">
        <f t="shared" si="5"/>
        <v>0</v>
      </c>
    </row>
    <row r="65" spans="1:9" s="44" customFormat="1" ht="19.5" hidden="1" thickBot="1">
      <c r="A65" s="107" t="s">
        <v>82</v>
      </c>
      <c r="B65" s="105"/>
      <c r="C65" s="105"/>
      <c r="D65" s="105"/>
      <c r="E65" s="106"/>
      <c r="F65" s="106" t="e">
        <f t="shared" si="6"/>
        <v>#DIV/0!</v>
      </c>
      <c r="G65" s="106" t="e">
        <f t="shared" si="4"/>
        <v>#DIV/0!</v>
      </c>
      <c r="H65" s="106">
        <f t="shared" si="7"/>
        <v>0</v>
      </c>
      <c r="I65" s="106">
        <f t="shared" si="5"/>
        <v>0</v>
      </c>
    </row>
    <row r="66" spans="1:9" s="44" customFormat="1" ht="19.5" hidden="1" thickBot="1">
      <c r="A66" s="107" t="s">
        <v>83</v>
      </c>
      <c r="B66" s="105"/>
      <c r="C66" s="105"/>
      <c r="D66" s="105"/>
      <c r="E66" s="106"/>
      <c r="F66" s="106" t="e">
        <f t="shared" si="6"/>
        <v>#DIV/0!</v>
      </c>
      <c r="G66" s="106" t="e">
        <f t="shared" si="4"/>
        <v>#DIV/0!</v>
      </c>
      <c r="H66" s="106">
        <f t="shared" si="7"/>
        <v>0</v>
      </c>
      <c r="I66" s="106">
        <f t="shared" si="5"/>
        <v>0</v>
      </c>
    </row>
    <row r="67" spans="1:9" s="44" customFormat="1" ht="19.5" hidden="1" thickBot="1">
      <c r="A67" s="107" t="s">
        <v>84</v>
      </c>
      <c r="B67" s="105"/>
      <c r="C67" s="105"/>
      <c r="D67" s="105"/>
      <c r="E67" s="106"/>
      <c r="F67" s="106" t="e">
        <f t="shared" si="6"/>
        <v>#DIV/0!</v>
      </c>
      <c r="G67" s="106" t="e">
        <f t="shared" si="4"/>
        <v>#DIV/0!</v>
      </c>
      <c r="H67" s="106">
        <f t="shared" si="7"/>
        <v>0</v>
      </c>
      <c r="I67" s="106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4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4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>
        <f>504.1+603.6+0.4+13.4+0.4+2.2+9.9+1.1+305.4+663.4+712.7</f>
        <v>2816.6000000000004</v>
      </c>
      <c r="E89" s="3">
        <f>D89/D149*100</f>
        <v>5.3203626747261055</v>
      </c>
      <c r="F89" s="3">
        <f aca="true" t="shared" si="10" ref="F89:F95">D89/B89*100</f>
        <v>67.35538178252864</v>
      </c>
      <c r="G89" s="3">
        <f t="shared" si="8"/>
        <v>22.451614960303544</v>
      </c>
      <c r="H89" s="3">
        <f aca="true" t="shared" si="11" ref="H89:H95">B89-D89</f>
        <v>1365.0999999999995</v>
      </c>
      <c r="I89" s="3">
        <f t="shared" si="9"/>
        <v>9728.6</v>
      </c>
    </row>
    <row r="90" spans="1:9" ht="18">
      <c r="A90" s="29" t="s">
        <v>3</v>
      </c>
      <c r="B90" s="49">
        <v>3551.3</v>
      </c>
      <c r="C90" s="50">
        <v>10620.7</v>
      </c>
      <c r="D90" s="51">
        <f>504.1+600.9+12.5+0.1+294.5+657+710.4</f>
        <v>2779.5</v>
      </c>
      <c r="E90" s="1">
        <f>D90/D89*100</f>
        <v>98.68280906056947</v>
      </c>
      <c r="F90" s="1">
        <f t="shared" si="10"/>
        <v>78.26711345141216</v>
      </c>
      <c r="G90" s="1">
        <f t="shared" si="8"/>
        <v>26.17059139228111</v>
      </c>
      <c r="H90" s="1">
        <f t="shared" si="11"/>
        <v>771.8000000000002</v>
      </c>
      <c r="I90" s="1">
        <f t="shared" si="9"/>
        <v>7841.200000000001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>
        <f>D91/D89*100</f>
        <v>0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37.100000000000364</v>
      </c>
      <c r="E93" s="1">
        <f>D93/D89*100</f>
        <v>1.317190939430532</v>
      </c>
      <c r="F93" s="1">
        <f t="shared" si="10"/>
        <v>9.9304068522485</v>
      </c>
      <c r="G93" s="1">
        <f>D93/C93*100</f>
        <v>3.306300686213383</v>
      </c>
      <c r="H93" s="1">
        <f t="shared" si="11"/>
        <v>336.49999999999926</v>
      </c>
      <c r="I93" s="1">
        <f>C93-D93</f>
        <v>1084.9999999999995</v>
      </c>
    </row>
    <row r="94" spans="1:9" ht="18.75">
      <c r="A94" s="119" t="s">
        <v>12</v>
      </c>
      <c r="B94" s="124">
        <v>5188.7</v>
      </c>
      <c r="C94" s="126">
        <v>15566</v>
      </c>
      <c r="D94" s="125">
        <f>3050.1+485.9+95+377.6+203.8+57.3</f>
        <v>4269.7</v>
      </c>
      <c r="E94" s="118">
        <f>D94/D149*100</f>
        <v>8.065168114846996</v>
      </c>
      <c r="F94" s="122">
        <f t="shared" si="10"/>
        <v>82.2884344826257</v>
      </c>
      <c r="G94" s="117">
        <f>D94/C94*100</f>
        <v>27.429654374919693</v>
      </c>
      <c r="H94" s="123">
        <f t="shared" si="11"/>
        <v>919</v>
      </c>
      <c r="I94" s="118">
        <f>C94-D94</f>
        <v>11296.3</v>
      </c>
    </row>
    <row r="95" spans="1:9" ht="18.75" thickBot="1">
      <c r="A95" s="120" t="s">
        <v>104</v>
      </c>
      <c r="B95" s="127">
        <v>430</v>
      </c>
      <c r="C95" s="128">
        <v>1290</v>
      </c>
      <c r="D95" s="129">
        <f>57.3</f>
        <v>57.3</v>
      </c>
      <c r="E95" s="130">
        <f>D95/D94*100</f>
        <v>1.3420146614516242</v>
      </c>
      <c r="F95" s="131">
        <f t="shared" si="10"/>
        <v>13.325581395348838</v>
      </c>
      <c r="G95" s="132">
        <f>D95/C95*100</f>
        <v>4.441860465116279</v>
      </c>
      <c r="H95" s="121">
        <f t="shared" si="11"/>
        <v>372.7</v>
      </c>
      <c r="I95" s="95">
        <f>C95-D95</f>
        <v>1232.7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1"/>
      <c r="B100" s="112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862.9+54.2</f>
        <v>917.1</v>
      </c>
      <c r="C101" s="103">
        <f>2588.7+162.5</f>
        <v>2751.2</v>
      </c>
      <c r="D101" s="90">
        <f>40+388.7+47.5</f>
        <v>476.2</v>
      </c>
      <c r="E101" s="25">
        <f>D101/D149*100</f>
        <v>0.8995088779750662</v>
      </c>
      <c r="F101" s="25">
        <f>D101/B101*100</f>
        <v>51.9245447606586</v>
      </c>
      <c r="G101" s="25">
        <f aca="true" t="shared" si="12" ref="G101:G147">D101/C101*100</f>
        <v>17.308810700785113</v>
      </c>
      <c r="H101" s="25">
        <f aca="true" t="shared" si="13" ref="H101:H106">B101-D101</f>
        <v>440.90000000000003</v>
      </c>
      <c r="I101" s="25">
        <f aca="true" t="shared" si="14" ref="I101:I147">C101-D101</f>
        <v>2275</v>
      </c>
    </row>
    <row r="102" spans="1:9" ht="18">
      <c r="A102" s="29" t="s">
        <v>3</v>
      </c>
      <c r="B102" s="100">
        <f>6.2</f>
        <v>6.2</v>
      </c>
      <c r="C102" s="98">
        <f>18.7</f>
        <v>18.7</v>
      </c>
      <c r="D102" s="98"/>
      <c r="E102" s="94">
        <f>D102/D101*100</f>
        <v>0</v>
      </c>
      <c r="F102" s="1">
        <f>D102/B102*100</f>
        <v>0</v>
      </c>
      <c r="G102" s="94">
        <f>D102/C102*100</f>
        <v>0</v>
      </c>
      <c r="H102" s="94">
        <f t="shared" si="13"/>
        <v>6.2</v>
      </c>
      <c r="I102" s="94">
        <f t="shared" si="14"/>
        <v>18.7</v>
      </c>
    </row>
    <row r="103" spans="1:9" ht="18">
      <c r="A103" s="96" t="s">
        <v>62</v>
      </c>
      <c r="B103" s="81">
        <f>774.8+1.9</f>
        <v>776.6999999999999</v>
      </c>
      <c r="C103" s="51">
        <v>2321.2</v>
      </c>
      <c r="D103" s="51">
        <f>39.8+388.5+20.6</f>
        <v>448.90000000000003</v>
      </c>
      <c r="E103" s="1">
        <f>D103/D101*100</f>
        <v>94.26711465770686</v>
      </c>
      <c r="F103" s="1">
        <f aca="true" t="shared" si="15" ref="F103:F147">D103/B103*100</f>
        <v>57.79580275524656</v>
      </c>
      <c r="G103" s="1">
        <f t="shared" si="12"/>
        <v>19.339134930208516</v>
      </c>
      <c r="H103" s="1">
        <f t="shared" si="13"/>
        <v>327.7999999999999</v>
      </c>
      <c r="I103" s="1">
        <f t="shared" si="14"/>
        <v>1872.2999999999997</v>
      </c>
    </row>
    <row r="104" spans="1:9" ht="54.75" hidden="1" thickBot="1">
      <c r="A104" s="97" t="s">
        <v>100</v>
      </c>
      <c r="B104" s="99"/>
      <c r="C104" s="99"/>
      <c r="D104" s="99"/>
      <c r="E104" s="95">
        <f>D104/D101*100</f>
        <v>0</v>
      </c>
      <c r="F104" s="95" t="e">
        <f>D104/B104*100</f>
        <v>#DIV/0!</v>
      </c>
      <c r="G104" s="95" t="e">
        <f>D104/C104*100</f>
        <v>#DIV/0!</v>
      </c>
      <c r="H104" s="95">
        <f t="shared" si="13"/>
        <v>0</v>
      </c>
      <c r="I104" s="95">
        <f>C104-D104</f>
        <v>0</v>
      </c>
    </row>
    <row r="105" spans="1:9" ht="18.75" thickBot="1">
      <c r="A105" s="97" t="s">
        <v>34</v>
      </c>
      <c r="B105" s="99">
        <f>B101-B102-B103</f>
        <v>134.20000000000005</v>
      </c>
      <c r="C105" s="99">
        <f>C101-C102-C103</f>
        <v>411.3000000000002</v>
      </c>
      <c r="D105" s="99">
        <f>D101-D102-D103</f>
        <v>27.299999999999955</v>
      </c>
      <c r="E105" s="95">
        <f>D105/D101*100</f>
        <v>5.7328853422931445</v>
      </c>
      <c r="F105" s="95">
        <f t="shared" si="15"/>
        <v>20.342771982116204</v>
      </c>
      <c r="G105" s="95">
        <f t="shared" si="12"/>
        <v>6.637490882567455</v>
      </c>
      <c r="H105" s="95">
        <f>B105-D105</f>
        <v>106.90000000000009</v>
      </c>
      <c r="I105" s="95">
        <f t="shared" si="14"/>
        <v>384.0000000000002</v>
      </c>
    </row>
    <row r="106" spans="1:9" s="2" customFormat="1" ht="26.25" customHeight="1" thickBot="1">
      <c r="A106" s="91" t="s">
        <v>35</v>
      </c>
      <c r="B106" s="92">
        <f>SUM(B107:B146)-B114-B118+B147-B138-B139-B108-B111-B121-B122-B136-B130-B128</f>
        <v>5024.699999999999</v>
      </c>
      <c r="C106" s="92">
        <f>SUM(C107:C146)-C114-C118+C147-C138-C139-C108-C111-C121-C122-C136-C130-C128</f>
        <v>17188.5</v>
      </c>
      <c r="D106" s="92">
        <f>SUM(D107:D146)-D114-D118+D147-D138-D139-D108-D111-D121-D122-D136-D130-D128</f>
        <v>1900.3000000000002</v>
      </c>
      <c r="E106" s="93">
        <f>D106/D149*100</f>
        <v>3.5895353230071785</v>
      </c>
      <c r="F106" s="93">
        <f>D106/B106*100</f>
        <v>37.819173283977165</v>
      </c>
      <c r="G106" s="93">
        <f t="shared" si="12"/>
        <v>11.05564767140821</v>
      </c>
      <c r="H106" s="93">
        <f t="shared" si="13"/>
        <v>3124.3999999999987</v>
      </c>
      <c r="I106" s="93">
        <f t="shared" si="14"/>
        <v>15288.2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>
        <f>82.2+4.4+0.2</f>
        <v>86.80000000000001</v>
      </c>
      <c r="E113" s="6">
        <f>D113/D106*100</f>
        <v>4.567699836867863</v>
      </c>
      <c r="F113" s="6">
        <f t="shared" si="15"/>
        <v>67.97180892717307</v>
      </c>
      <c r="G113" s="6">
        <f t="shared" si="12"/>
        <v>22.65726964239102</v>
      </c>
      <c r="H113" s="6">
        <f t="shared" si="16"/>
        <v>40.89999999999999</v>
      </c>
      <c r="I113" s="6">
        <f t="shared" si="14"/>
        <v>296.3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>
        <f>17.1</f>
        <v>17.1</v>
      </c>
      <c r="E117" s="6">
        <f>D117/D106*100</f>
        <v>0.899857917170973</v>
      </c>
      <c r="F117" s="6">
        <f t="shared" si="15"/>
        <v>85.07462686567165</v>
      </c>
      <c r="G117" s="6">
        <f t="shared" si="12"/>
        <v>28.311258278145697</v>
      </c>
      <c r="H117" s="6">
        <f t="shared" si="16"/>
        <v>3</v>
      </c>
      <c r="I117" s="6">
        <f t="shared" si="14"/>
        <v>43.3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>
        <f>17.1</f>
        <v>17.1</v>
      </c>
      <c r="E118" s="1">
        <f>D118/D117*100</f>
        <v>100</v>
      </c>
      <c r="F118" s="1">
        <f t="shared" si="15"/>
        <v>91.93548387096774</v>
      </c>
      <c r="G118" s="1">
        <f t="shared" si="12"/>
        <v>30.700179533213646</v>
      </c>
      <c r="H118" s="1">
        <f t="shared" si="16"/>
        <v>1.5</v>
      </c>
      <c r="I118" s="1">
        <f t="shared" si="14"/>
        <v>38.6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3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3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>
        <f>2.8</f>
        <v>2.8</v>
      </c>
      <c r="E127" s="19">
        <f>D127/D106*100</f>
        <v>0.14734515602799556</v>
      </c>
      <c r="F127" s="6">
        <f t="shared" si="15"/>
        <v>4.081632653061225</v>
      </c>
      <c r="G127" s="6">
        <f t="shared" si="12"/>
        <v>1.3605442176870746</v>
      </c>
      <c r="H127" s="6">
        <f t="shared" si="16"/>
        <v>65.8</v>
      </c>
      <c r="I127" s="6">
        <f t="shared" si="14"/>
        <v>203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>
        <f>2.8</f>
        <v>2.8</v>
      </c>
      <c r="E128" s="1">
        <f>D128/D127*100</f>
        <v>100</v>
      </c>
      <c r="F128" s="1">
        <f>D128/B128*100</f>
        <v>100</v>
      </c>
      <c r="G128" s="1">
        <f t="shared" si="12"/>
        <v>33.734939759036145</v>
      </c>
      <c r="H128" s="1">
        <f t="shared" si="16"/>
        <v>0</v>
      </c>
      <c r="I128" s="1">
        <f t="shared" si="14"/>
        <v>5.500000000000001</v>
      </c>
    </row>
    <row r="129" spans="1:9" s="2" customFormat="1" ht="18.75" hidden="1">
      <c r="A129" s="17" t="s">
        <v>71</v>
      </c>
      <c r="B129" s="80"/>
      <c r="C129" s="60"/>
      <c r="D129" s="83"/>
      <c r="E129" s="19">
        <f>D129/D106*100</f>
        <v>0</v>
      </c>
      <c r="F129" s="6" t="e">
        <f t="shared" si="15"/>
        <v>#DIV/0!</v>
      </c>
      <c r="G129" s="6" t="e">
        <f t="shared" si="12"/>
        <v>#DIV/0!</v>
      </c>
      <c r="H129" s="6">
        <f t="shared" si="16"/>
        <v>0</v>
      </c>
      <c r="I129" s="6">
        <f t="shared" si="14"/>
        <v>0</v>
      </c>
    </row>
    <row r="130" spans="1:9" s="39" customFormat="1" ht="18" hidden="1">
      <c r="A130" s="40" t="s">
        <v>53</v>
      </c>
      <c r="B130" s="81"/>
      <c r="C130" s="51"/>
      <c r="D130" s="82"/>
      <c r="E130" s="1"/>
      <c r="F130" s="1" t="e">
        <f>D130/B130*100</f>
        <v>#DIV/0!</v>
      </c>
      <c r="G130" s="1" t="e">
        <f t="shared" si="12"/>
        <v>#DIV/0!</v>
      </c>
      <c r="H130" s="1">
        <f t="shared" si="16"/>
        <v>0</v>
      </c>
      <c r="I130" s="1">
        <f t="shared" si="14"/>
        <v>0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>
        <f>0.8</f>
        <v>0.8</v>
      </c>
      <c r="E131" s="19">
        <f>D131/D106*100</f>
        <v>0.04209861600799873</v>
      </c>
      <c r="F131" s="6">
        <f t="shared" si="15"/>
        <v>12.5</v>
      </c>
      <c r="G131" s="6">
        <f t="shared" si="12"/>
        <v>4.18848167539267</v>
      </c>
      <c r="H131" s="6">
        <f t="shared" si="16"/>
        <v>5.6000000000000005</v>
      </c>
      <c r="I131" s="6">
        <f t="shared" si="14"/>
        <v>18.3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14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>
        <f>26.5+42.3</f>
        <v>68.8</v>
      </c>
      <c r="E137" s="19">
        <f>D137/D106*100</f>
        <v>3.620480976687891</v>
      </c>
      <c r="F137" s="6">
        <f t="shared" si="15"/>
        <v>79.26267281105991</v>
      </c>
      <c r="G137" s="6">
        <f t="shared" si="12"/>
        <v>26.42089093701997</v>
      </c>
      <c r="H137" s="6">
        <f t="shared" si="16"/>
        <v>18</v>
      </c>
      <c r="I137" s="6">
        <f t="shared" si="14"/>
        <v>191.59999999999997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>
        <f>26.5+39.8</f>
        <v>66.3</v>
      </c>
      <c r="E138" s="1">
        <f>D138/D137*100</f>
        <v>96.36627906976744</v>
      </c>
      <c r="F138" s="1">
        <f aca="true" t="shared" si="17" ref="F138:F146">D138/B138*100</f>
        <v>88.8739946380697</v>
      </c>
      <c r="G138" s="1">
        <f t="shared" si="12"/>
        <v>29.637907912382655</v>
      </c>
      <c r="H138" s="1">
        <f t="shared" si="16"/>
        <v>8.299999999999997</v>
      </c>
      <c r="I138" s="1">
        <f t="shared" si="14"/>
        <v>157.39999999999998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>
        <f>D139/D137*100</f>
        <v>0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0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0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>
        <f>112.8</f>
        <v>112.8</v>
      </c>
      <c r="E142" s="19">
        <f>D142/D106*100</f>
        <v>5.935904857127821</v>
      </c>
      <c r="F142" s="110">
        <f t="shared" si="17"/>
        <v>9.054422860812329</v>
      </c>
      <c r="G142" s="6">
        <f t="shared" si="12"/>
        <v>3.0180602006688964</v>
      </c>
      <c r="H142" s="6">
        <f t="shared" si="16"/>
        <v>1133</v>
      </c>
      <c r="I142" s="6">
        <f t="shared" si="14"/>
        <v>3624.7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0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4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0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2"/>
      <c r="L146" s="45"/>
    </row>
    <row r="147" spans="1:12" s="2" customFormat="1" ht="18.75">
      <c r="A147" s="17" t="s">
        <v>109</v>
      </c>
      <c r="B147" s="80">
        <f>1855.3+561.5</f>
        <v>2416.8</v>
      </c>
      <c r="C147" s="60">
        <f>5565.9+1684.5</f>
        <v>7250.4</v>
      </c>
      <c r="D147" s="83">
        <f>805.6+805.6</f>
        <v>1611.2</v>
      </c>
      <c r="E147" s="19">
        <f>D147/D106*100</f>
        <v>84.78661264010945</v>
      </c>
      <c r="F147" s="6">
        <f t="shared" si="15"/>
        <v>66.66666666666666</v>
      </c>
      <c r="G147" s="6">
        <f t="shared" si="12"/>
        <v>22.222222222222225</v>
      </c>
      <c r="H147" s="6">
        <f t="shared" si="16"/>
        <v>805.6000000000001</v>
      </c>
      <c r="I147" s="6">
        <f t="shared" si="14"/>
        <v>5639.2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6077.499999999999</v>
      </c>
      <c r="C148" s="84">
        <f>C43+C68+C71+C76+C78+C86+C101+C106+C99+C83+C97</f>
        <v>20346.8</v>
      </c>
      <c r="D148" s="60">
        <f>D43+D68+D71+D76+D78+D86+D101+D106+D99+D83+D97</f>
        <v>2376.5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69138.2</v>
      </c>
      <c r="C149" s="54">
        <f>C6+C18+C33+C43+C51+C58+C68+C71+C76+C78+C86+C89+C94+C101+C106+C99+C83+C97+C45</f>
        <v>209529.40000000002</v>
      </c>
      <c r="D149" s="54">
        <f>D6+D18+D33+D43+D51+D58+D68+D71+D76+D78+D86+D89+D94+D101+D106+D99+D83+D97+D45</f>
        <v>52940</v>
      </c>
      <c r="E149" s="38">
        <v>100</v>
      </c>
      <c r="F149" s="3">
        <f>D149/B149*100</f>
        <v>76.57127318906191</v>
      </c>
      <c r="G149" s="3">
        <f aca="true" t="shared" si="18" ref="G149:G155">D149/C149*100</f>
        <v>25.266144035156877</v>
      </c>
      <c r="H149" s="3">
        <f aca="true" t="shared" si="19" ref="H149:H155">B149-D149</f>
        <v>16198.199999999997</v>
      </c>
      <c r="I149" s="3">
        <f aca="true" t="shared" si="20" ref="I149:I155">C149-D149</f>
        <v>156589.40000000002</v>
      </c>
      <c r="K149" s="46"/>
      <c r="L149" s="47"/>
    </row>
    <row r="150" spans="1:12" ht="18.75">
      <c r="A150" s="23" t="s">
        <v>5</v>
      </c>
      <c r="B150" s="67">
        <f>B8+B20+B34+B52+B59+B90+B114+B118+B46+B138+B130+B102</f>
        <v>45135.399999999994</v>
      </c>
      <c r="C150" s="67">
        <f>C8+C20+C34+C52+C59+C90+C114+C118+C46+C138+C130+C102</f>
        <v>124094.59999999998</v>
      </c>
      <c r="D150" s="67">
        <f>D8+D20+D34+D52+D59+D90+D114+D118+D46+D138+D130+D102</f>
        <v>41679</v>
      </c>
      <c r="E150" s="6">
        <f>D150/D149*100</f>
        <v>78.72874952776728</v>
      </c>
      <c r="F150" s="6">
        <f aca="true" t="shared" si="21" ref="F150:F161">D150/B150*100</f>
        <v>92.34215272269661</v>
      </c>
      <c r="G150" s="6">
        <f t="shared" si="18"/>
        <v>33.58647354518247</v>
      </c>
      <c r="H150" s="6">
        <f t="shared" si="19"/>
        <v>3456.399999999994</v>
      </c>
      <c r="I150" s="18">
        <f t="shared" si="20"/>
        <v>82415.59999999998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8330.2</v>
      </c>
      <c r="C151" s="68">
        <f>C11+C23+C36+C55+C61+C91+C49+C139+C108+C111+C95+C136</f>
        <v>35678.700000000004</v>
      </c>
      <c r="D151" s="68">
        <f>D11+D23+D36+D55+D61+D91+D49+D139+D108+D111+D95+D136</f>
        <v>2281.3</v>
      </c>
      <c r="E151" s="6">
        <f>D151/D149*100</f>
        <v>4.309217982621837</v>
      </c>
      <c r="F151" s="6">
        <f t="shared" si="21"/>
        <v>27.385897097308586</v>
      </c>
      <c r="G151" s="6">
        <f t="shared" si="18"/>
        <v>6.39401099255298</v>
      </c>
      <c r="H151" s="6">
        <f t="shared" si="19"/>
        <v>6048.900000000001</v>
      </c>
      <c r="I151" s="18">
        <f t="shared" si="20"/>
        <v>33397.4</v>
      </c>
      <c r="K151" s="46"/>
      <c r="L151" s="101"/>
    </row>
    <row r="152" spans="1:12" ht="18.75">
      <c r="A152" s="23" t="s">
        <v>1</v>
      </c>
      <c r="B152" s="67">
        <f>B22+B10+B54+B48+B60+B35+B122</f>
        <v>1669.4</v>
      </c>
      <c r="C152" s="67">
        <f>C22+C10+C54+C48+C60+C35+C122</f>
        <v>5199.3</v>
      </c>
      <c r="D152" s="67">
        <f>D22+D10+D54+D48+D60+D35+D122</f>
        <v>927.9</v>
      </c>
      <c r="E152" s="6">
        <f>D152/D149*100</f>
        <v>1.7527389497544388</v>
      </c>
      <c r="F152" s="6">
        <f t="shared" si="21"/>
        <v>55.582844135617584</v>
      </c>
      <c r="G152" s="6">
        <f t="shared" si="18"/>
        <v>17.84663320062316</v>
      </c>
      <c r="H152" s="6">
        <f t="shared" si="19"/>
        <v>741.5000000000001</v>
      </c>
      <c r="I152" s="18">
        <f t="shared" si="20"/>
        <v>4271.400000000001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1190.3999999999999</v>
      </c>
      <c r="C153" s="67">
        <f>C12+C24+C103+C62+C38+C92+C128</f>
        <v>3418.4</v>
      </c>
      <c r="D153" s="67">
        <f>D12+D24+D103+D62+D38+D92+D128</f>
        <v>563.3</v>
      </c>
      <c r="E153" s="6">
        <f>D153/D149*100</f>
        <v>1.0640347563279184</v>
      </c>
      <c r="F153" s="6">
        <f t="shared" si="21"/>
        <v>47.320228494623656</v>
      </c>
      <c r="G153" s="6">
        <f t="shared" si="18"/>
        <v>16.47846945939621</v>
      </c>
      <c r="H153" s="6">
        <f t="shared" si="19"/>
        <v>627.0999999999999</v>
      </c>
      <c r="I153" s="18">
        <f t="shared" si="20"/>
        <v>2855.1000000000004</v>
      </c>
      <c r="K153" s="46"/>
      <c r="L153" s="101"/>
    </row>
    <row r="154" spans="1:12" ht="18.75">
      <c r="A154" s="23" t="s">
        <v>2</v>
      </c>
      <c r="B154" s="67">
        <f>B9+B21+B47+B53+B121</f>
        <v>1003.6999999999999</v>
      </c>
      <c r="C154" s="67">
        <f>C9+C21+C47+C53+C121</f>
        <v>3452.9</v>
      </c>
      <c r="D154" s="67">
        <f>D9+D21+D47+D53+D121</f>
        <v>627.9</v>
      </c>
      <c r="E154" s="6">
        <f>D154/D149*100</f>
        <v>1.186059690215338</v>
      </c>
      <c r="F154" s="6">
        <f t="shared" si="21"/>
        <v>62.558533426322604</v>
      </c>
      <c r="G154" s="6">
        <f t="shared" si="18"/>
        <v>18.184714298126213</v>
      </c>
      <c r="H154" s="6">
        <f t="shared" si="19"/>
        <v>375.79999999999995</v>
      </c>
      <c r="I154" s="18">
        <f t="shared" si="20"/>
        <v>2825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11809.100000000002</v>
      </c>
      <c r="C155" s="67">
        <f>C149-C150-C151-C152-C153-C154</f>
        <v>37685.50000000004</v>
      </c>
      <c r="D155" s="67">
        <f>D149-D150-D151-D152-D153-D154</f>
        <v>6860.600000000001</v>
      </c>
      <c r="E155" s="6">
        <f>D155/D149*100</f>
        <v>12.959199093313186</v>
      </c>
      <c r="F155" s="6">
        <f t="shared" si="21"/>
        <v>58.095875214876656</v>
      </c>
      <c r="G155" s="43">
        <f t="shared" si="18"/>
        <v>18.204879860954463</v>
      </c>
      <c r="H155" s="6">
        <f t="shared" si="19"/>
        <v>4948.500000000001</v>
      </c>
      <c r="I155" s="6">
        <f t="shared" si="20"/>
        <v>30824.900000000034</v>
      </c>
      <c r="K155" s="46"/>
      <c r="L155" s="101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69138.2</v>
      </c>
      <c r="C166" s="90">
        <f>C149+C157+C161+C162+C158+C165+C164+C159+C163+C160</f>
        <v>209529.40000000002</v>
      </c>
      <c r="D166" s="90">
        <f>D149+D157+D161+D162+D158+D165+D164+D159+D163+D160</f>
        <v>52940</v>
      </c>
      <c r="E166" s="25"/>
      <c r="F166" s="3">
        <f>D166/B166*100</f>
        <v>76.57127318906191</v>
      </c>
      <c r="G166" s="3">
        <f t="shared" si="22"/>
        <v>25.266144035156877</v>
      </c>
      <c r="H166" s="3">
        <f>B166-D166</f>
        <v>16198.199999999997</v>
      </c>
      <c r="I166" s="3">
        <f t="shared" si="23"/>
        <v>156589.40000000002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52940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52940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2016-01-29T08:43:59Z</dcterms:modified>
  <cp:category/>
  <cp:version/>
  <cp:contentType/>
  <cp:contentStatus/>
</cp:coreProperties>
</file>